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showSheetTabs="0" xWindow="0" yWindow="1470" windowWidth="12090" windowHeight="6975"/>
  </bookViews>
  <sheets>
    <sheet name="N907FS" sheetId="1" r:id="rId1"/>
  </sheets>
  <definedNames>
    <definedName name="_xlnm.Print_Area" localSheetId="0">N907FS!$A$1:$F$46</definedName>
  </definedNames>
  <calcPr calcId="125725"/>
</workbook>
</file>

<file path=xl/calcChain.xml><?xml version="1.0" encoding="utf-8"?>
<calcChain xmlns="http://schemas.openxmlformats.org/spreadsheetml/2006/main">
  <c r="A17" i="1"/>
  <c r="C18"/>
  <c r="C5"/>
  <c r="E5" s="1"/>
  <c r="B6"/>
  <c r="J28" s="1"/>
  <c r="K5"/>
  <c r="K4"/>
  <c r="D18"/>
  <c r="C9"/>
  <c r="E9" s="1"/>
  <c r="C8"/>
  <c r="E8" s="1"/>
  <c r="C10"/>
  <c r="C11"/>
  <c r="E10"/>
  <c r="E11"/>
  <c r="C17" l="1"/>
  <c r="D21" s="1"/>
  <c r="J32"/>
  <c r="J35" s="1"/>
  <c r="J30"/>
  <c r="C6"/>
  <c r="B17" l="1"/>
  <c r="D17" s="1"/>
  <c r="D19" s="1"/>
  <c r="E6"/>
  <c r="C12"/>
  <c r="C13" s="1"/>
  <c r="E21"/>
  <c r="E12"/>
  <c r="E17" l="1"/>
  <c r="D12"/>
  <c r="E19"/>
</calcChain>
</file>

<file path=xl/sharedStrings.xml><?xml version="1.0" encoding="utf-8"?>
<sst xmlns="http://schemas.openxmlformats.org/spreadsheetml/2006/main" count="77" uniqueCount="70">
  <si>
    <t>Position</t>
  </si>
  <si>
    <t>Weight</t>
  </si>
  <si>
    <t>Arm</t>
  </si>
  <si>
    <t>Moment</t>
  </si>
  <si>
    <t>MAX ALLOWABLE TAKEOFF WEIGHT</t>
  </si>
  <si>
    <t>Max Allowable Landing Weight</t>
  </si>
  <si>
    <t>Bags</t>
  </si>
  <si>
    <t>Zero Fuel Weight and CG</t>
  </si>
  <si>
    <t>Item</t>
  </si>
  <si>
    <t>Est. Destination Landing Weight &amp; CG</t>
  </si>
  <si>
    <t>weight</t>
  </si>
  <si>
    <t>cg</t>
  </si>
  <si>
    <t>Basic Empty Weight</t>
  </si>
  <si>
    <t>Front Right</t>
  </si>
  <si>
    <t>Rear Left</t>
  </si>
  <si>
    <t>Rear Right</t>
  </si>
  <si>
    <t>Empty Weight</t>
  </si>
  <si>
    <t>Equals</t>
  </si>
  <si>
    <t>Pax &amp; Bags</t>
  </si>
  <si>
    <t>plus         Fuel          plus</t>
  </si>
  <si>
    <t>No more than 130 lbs</t>
  </si>
  <si>
    <t>Pilot Name &amp; Weight</t>
  </si>
  <si>
    <t>Pax Weight</t>
  </si>
  <si>
    <t>Pax Position</t>
  </si>
  <si>
    <t xml:space="preserve">Cirrus SR20 </t>
  </si>
  <si>
    <t>Pilot</t>
  </si>
  <si>
    <t>CoPilot</t>
  </si>
  <si>
    <t>Rear 1</t>
  </si>
  <si>
    <t>Rear 2</t>
  </si>
  <si>
    <t>Instructions</t>
  </si>
  <si>
    <t>6) Save for future reference</t>
  </si>
  <si>
    <t>Spare Payload</t>
  </si>
  <si>
    <t>1) enter Weights in Pounds above</t>
  </si>
  <si>
    <t>Lbs</t>
  </si>
  <si>
    <t>2) Enter fuel in LITRES above</t>
  </si>
  <si>
    <t>3) Enter Baggage in Lbs above</t>
  </si>
  <si>
    <t>Fuel LITRES</t>
  </si>
  <si>
    <t>Fuel (IMP.Gallons)</t>
  </si>
  <si>
    <t>TOTAL WEIGHT AND CG in LBS</t>
  </si>
  <si>
    <t>We always fuel in litres so it makes it easier to calc</t>
  </si>
  <si>
    <t>Assumptions:</t>
  </si>
  <si>
    <t>You only need to enter data in YELLOW boxes</t>
  </si>
  <si>
    <t>Pax Names</t>
  </si>
  <si>
    <t>Kg</t>
  </si>
  <si>
    <t>Ready Reckoner</t>
  </si>
  <si>
    <t xml:space="preserve"> Enter Weights</t>
  </si>
  <si>
    <t>in Lbs</t>
  </si>
  <si>
    <t>1 imp. Gallon weighs 7.1lbs (20% more than USG)</t>
  </si>
  <si>
    <t>Est. Fuel Burn (USG)</t>
  </si>
  <si>
    <t>Stone</t>
  </si>
  <si>
    <t>4) Enter Passenger names to Left</t>
  </si>
  <si>
    <t>US Gal Onboard</t>
  </si>
  <si>
    <t>Total flight time</t>
  </si>
  <si>
    <t>Fuel remaining after trip</t>
  </si>
  <si>
    <t>Fight time remaining</t>
  </si>
  <si>
    <t>available  (at 12 US gph) (Hr:mm)</t>
  </si>
  <si>
    <t>Hr:mm</t>
  </si>
  <si>
    <t>US Gal</t>
  </si>
  <si>
    <t xml:space="preserve">(at 12 US gph) </t>
  </si>
  <si>
    <t>Estimated flight time</t>
  </si>
  <si>
    <t>5) Enter estimated flight time below</t>
  </si>
  <si>
    <t>Left</t>
  </si>
  <si>
    <t>Right</t>
  </si>
  <si>
    <t>Total</t>
  </si>
  <si>
    <t>TABS</t>
  </si>
  <si>
    <t>49 litres</t>
  </si>
  <si>
    <t>98 litres</t>
  </si>
  <si>
    <t>FULL</t>
  </si>
  <si>
    <t>106 litres</t>
  </si>
  <si>
    <t>212 litres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</si>
</sst>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_ ;[Red]\-0\ "/>
    <numFmt numFmtId="166" formatCode="[h]:mm"/>
  </numFmts>
  <fonts count="15">
    <font>
      <sz val="10"/>
      <name val="MS Sans Serif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2" xfId="0" applyFont="1" applyBorder="1" applyProtection="1"/>
    <xf numFmtId="1" fontId="7" fillId="0" borderId="3" xfId="0" applyNumberFormat="1" applyFont="1" applyBorder="1" applyProtection="1"/>
    <xf numFmtId="2" fontId="7" fillId="0" borderId="3" xfId="0" applyNumberFormat="1" applyFont="1" applyBorder="1" applyProtection="1"/>
    <xf numFmtId="4" fontId="7" fillId="0" borderId="3" xfId="0" applyNumberFormat="1" applyFont="1" applyBorder="1" applyProtection="1"/>
    <xf numFmtId="0" fontId="7" fillId="0" borderId="4" xfId="0" applyFont="1" applyBorder="1" applyProtection="1"/>
    <xf numFmtId="0" fontId="7" fillId="2" borderId="5" xfId="0" applyFont="1" applyFill="1" applyBorder="1" applyProtection="1">
      <protection locked="0"/>
    </xf>
    <xf numFmtId="2" fontId="7" fillId="0" borderId="5" xfId="0" applyNumberFormat="1" applyFont="1" applyBorder="1" applyProtection="1"/>
    <xf numFmtId="4" fontId="7" fillId="0" borderId="5" xfId="0" applyNumberFormat="1" applyFont="1" applyBorder="1" applyProtection="1"/>
    <xf numFmtId="4" fontId="7" fillId="0" borderId="0" xfId="0" applyNumberFormat="1" applyFont="1" applyProtection="1"/>
    <xf numFmtId="0" fontId="7" fillId="2" borderId="2" xfId="0" applyFont="1" applyFill="1" applyBorder="1" applyProtection="1">
      <protection locked="0"/>
    </xf>
    <xf numFmtId="0" fontId="7" fillId="0" borderId="6" xfId="0" applyFont="1" applyBorder="1" applyProtection="1"/>
    <xf numFmtId="2" fontId="7" fillId="0" borderId="2" xfId="0" applyNumberFormat="1" applyFont="1" applyBorder="1" applyProtection="1"/>
    <xf numFmtId="0" fontId="6" fillId="0" borderId="0" xfId="0" applyFont="1" applyProtection="1"/>
    <xf numFmtId="164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4" fontId="7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8" fillId="0" borderId="7" xfId="0" applyFont="1" applyBorder="1" applyProtection="1"/>
    <xf numFmtId="0" fontId="7" fillId="0" borderId="7" xfId="0" applyFont="1" applyBorder="1" applyProtection="1"/>
    <xf numFmtId="0" fontId="7" fillId="0" borderId="7" xfId="0" applyFont="1" applyBorder="1" applyAlignment="1" applyProtection="1">
      <alignment horizontal="center"/>
    </xf>
    <xf numFmtId="1" fontId="7" fillId="0" borderId="7" xfId="0" applyNumberFormat="1" applyFont="1" applyBorder="1" applyProtection="1"/>
    <xf numFmtId="164" fontId="7" fillId="0" borderId="7" xfId="0" applyNumberFormat="1" applyFont="1" applyBorder="1" applyProtection="1"/>
    <xf numFmtId="1" fontId="8" fillId="0" borderId="7" xfId="0" applyNumberFormat="1" applyFont="1" applyBorder="1" applyProtection="1"/>
    <xf numFmtId="0" fontId="8" fillId="0" borderId="0" xfId="0" applyFont="1" applyProtection="1"/>
    <xf numFmtId="0" fontId="8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4" fontId="6" fillId="0" borderId="0" xfId="0" applyNumberFormat="1" applyFont="1" applyProtection="1"/>
    <xf numFmtId="0" fontId="6" fillId="0" borderId="3" xfId="0" applyFont="1" applyBorder="1" applyProtection="1"/>
    <xf numFmtId="0" fontId="6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165" fontId="6" fillId="0" borderId="0" xfId="0" applyNumberFormat="1" applyFont="1" applyAlignment="1" applyProtection="1">
      <alignment horizontal="right"/>
    </xf>
    <xf numFmtId="0" fontId="9" fillId="0" borderId="8" xfId="0" applyFont="1" applyBorder="1" applyProtection="1"/>
    <xf numFmtId="1" fontId="6" fillId="0" borderId="0" xfId="0" applyNumberFormat="1" applyFont="1" applyProtection="1"/>
    <xf numFmtId="1" fontId="7" fillId="0" borderId="7" xfId="0" applyNumberFormat="1" applyFont="1" applyBorder="1" applyAlignment="1" applyProtection="1">
      <alignment horizontal="center"/>
    </xf>
    <xf numFmtId="1" fontId="7" fillId="0" borderId="11" xfId="0" applyNumberFormat="1" applyFont="1" applyFill="1" applyBorder="1" applyProtection="1">
      <protection hidden="1"/>
    </xf>
    <xf numFmtId="0" fontId="1" fillId="3" borderId="12" xfId="0" applyFont="1" applyFill="1" applyBorder="1" applyProtection="1"/>
    <xf numFmtId="0" fontId="1" fillId="3" borderId="13" xfId="0" applyFont="1" applyFill="1" applyBorder="1" applyProtection="1"/>
    <xf numFmtId="0" fontId="1" fillId="3" borderId="8" xfId="0" applyFont="1" applyFill="1" applyBorder="1" applyProtection="1"/>
    <xf numFmtId="0" fontId="1" fillId="3" borderId="14" xfId="0" applyFont="1" applyFill="1" applyBorder="1" applyProtection="1"/>
    <xf numFmtId="0" fontId="1" fillId="3" borderId="9" xfId="0" applyFont="1" applyFill="1" applyBorder="1" applyProtection="1"/>
    <xf numFmtId="0" fontId="1" fillId="0" borderId="15" xfId="0" applyFont="1" applyFill="1" applyBorder="1" applyProtection="1"/>
    <xf numFmtId="0" fontId="1" fillId="0" borderId="0" xfId="0" applyFont="1" applyFill="1" applyProtection="1"/>
    <xf numFmtId="2" fontId="1" fillId="0" borderId="14" xfId="0" applyNumberFormat="1" applyFont="1" applyFill="1" applyBorder="1" applyProtection="1"/>
    <xf numFmtId="166" fontId="1" fillId="0" borderId="0" xfId="0" applyNumberFormat="1" applyFont="1" applyProtection="1"/>
    <xf numFmtId="0" fontId="9" fillId="0" borderId="0" xfId="0" applyFont="1" applyProtection="1"/>
    <xf numFmtId="0" fontId="1" fillId="0" borderId="0" xfId="0" applyFont="1" applyAlignment="1" applyProtection="1">
      <alignment horizontal="right"/>
    </xf>
    <xf numFmtId="2" fontId="13" fillId="0" borderId="0" xfId="0" applyNumberFormat="1" applyFont="1" applyProtection="1"/>
    <xf numFmtId="166" fontId="13" fillId="0" borderId="0" xfId="0" applyNumberFormat="1" applyFont="1" applyProtection="1"/>
    <xf numFmtId="0" fontId="12" fillId="0" borderId="0" xfId="0" applyFont="1" applyProtection="1"/>
    <xf numFmtId="0" fontId="14" fillId="0" borderId="0" xfId="0" applyFont="1" applyAlignment="1" applyProtection="1">
      <alignment horizontal="right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7" fillId="0" borderId="3" xfId="0" applyFont="1" applyFill="1" applyBorder="1" applyProtection="1"/>
    <xf numFmtId="2" fontId="8" fillId="5" borderId="5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166" fontId="11" fillId="4" borderId="0" xfId="0" applyNumberFormat="1" applyFont="1" applyFill="1" applyProtection="1">
      <protection locked="0"/>
    </xf>
    <xf numFmtId="2" fontId="7" fillId="0" borderId="7" xfId="0" applyNumberFormat="1" applyFont="1" applyFill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Alignment="1" applyProtection="1">
      <alignment horizontal="center"/>
    </xf>
    <xf numFmtId="0" fontId="4" fillId="6" borderId="20" xfId="0" applyFont="1" applyFill="1" applyBorder="1" applyAlignment="1" applyProtection="1">
      <alignment horizontal="center"/>
    </xf>
    <xf numFmtId="0" fontId="4" fillId="0" borderId="8" xfId="0" applyFont="1" applyBorder="1" applyProtection="1"/>
    <xf numFmtId="0" fontId="4" fillId="6" borderId="14" xfId="0" applyFont="1" applyFill="1" applyBorder="1" applyProtection="1"/>
    <xf numFmtId="0" fontId="4" fillId="0" borderId="9" xfId="0" applyFont="1" applyBorder="1" applyProtection="1"/>
    <xf numFmtId="0" fontId="4" fillId="6" borderId="15" xfId="0" applyFont="1" applyFill="1" applyBorder="1" applyProtection="1"/>
    <xf numFmtId="0" fontId="10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Center of Gravity Limits</a:t>
            </a:r>
          </a:p>
        </c:rich>
      </c:tx>
      <c:layout>
        <c:manualLayout>
          <c:xMode val="edge"/>
          <c:yMode val="edge"/>
          <c:x val="0.35499240883320682"/>
          <c:y val="3.30788804071247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2213153889191"/>
          <c:y val="0.18066202653374119"/>
          <c:w val="0.6434236357713109"/>
          <c:h val="0.63867843183055184"/>
        </c:manualLayout>
      </c:layout>
      <c:scatterChart>
        <c:scatterStyle val="lineMarker"/>
        <c:ser>
          <c:idx val="0"/>
          <c:order val="0"/>
          <c:tx>
            <c:v>Takeoff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N907FS!$E$17</c:f>
              <c:numCache>
                <c:formatCode>0.0</c:formatCode>
                <c:ptCount val="1"/>
                <c:pt idx="0">
                  <c:v>140.59340557131563</c:v>
                </c:pt>
              </c:numCache>
            </c:numRef>
          </c:xVal>
          <c:yVal>
            <c:numRef>
              <c:f>N907FS!$D$17</c:f>
              <c:numCache>
                <c:formatCode>0</c:formatCode>
                <c:ptCount val="1"/>
                <c:pt idx="0">
                  <c:v>2150.3000000000002</c:v>
                </c:pt>
              </c:numCache>
            </c:numRef>
          </c:yVal>
        </c:ser>
        <c:ser>
          <c:idx val="1"/>
          <c:order val="1"/>
          <c:tx>
            <c:v>Landing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N907FS!$E$19</c:f>
              <c:numCache>
                <c:formatCode>0.0</c:formatCode>
                <c:ptCount val="1"/>
                <c:pt idx="0">
                  <c:v>140.59340557131563</c:v>
                </c:pt>
              </c:numCache>
            </c:numRef>
          </c:xVal>
          <c:yVal>
            <c:numRef>
              <c:f>N907FS!$D$19</c:f>
              <c:numCache>
                <c:formatCode>0</c:formatCode>
                <c:ptCount val="1"/>
                <c:pt idx="0">
                  <c:v>2150.3000000000002</c:v>
                </c:pt>
              </c:numCache>
            </c:numRef>
          </c:yVal>
        </c:ser>
        <c:ser>
          <c:idx val="2"/>
          <c:order val="2"/>
          <c:tx>
            <c:v>Envelope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N907FS!$E$25:$E$32</c:f>
              <c:numCache>
                <c:formatCode>General</c:formatCode>
                <c:ptCount val="8"/>
                <c:pt idx="0">
                  <c:v>138.85</c:v>
                </c:pt>
                <c:pt idx="1">
                  <c:v>141</c:v>
                </c:pt>
                <c:pt idx="2">
                  <c:v>144.15</c:v>
                </c:pt>
                <c:pt idx="3">
                  <c:v>148</c:v>
                </c:pt>
                <c:pt idx="4">
                  <c:v>148.12</c:v>
                </c:pt>
                <c:pt idx="5">
                  <c:v>147.5</c:v>
                </c:pt>
                <c:pt idx="6">
                  <c:v>144.6</c:v>
                </c:pt>
                <c:pt idx="7">
                  <c:v>138.85</c:v>
                </c:pt>
              </c:numCache>
            </c:numRef>
          </c:xVal>
          <c:yVal>
            <c:numRef>
              <c:f>N907FS!$D$25:$D$32</c:f>
              <c:numCache>
                <c:formatCode>General</c:formatCode>
                <c:ptCount val="8"/>
                <c:pt idx="0">
                  <c:v>2110</c:v>
                </c:pt>
                <c:pt idx="1">
                  <c:v>2694</c:v>
                </c:pt>
                <c:pt idx="2">
                  <c:v>3000</c:v>
                </c:pt>
                <c:pt idx="3">
                  <c:v>3000</c:v>
                </c:pt>
                <c:pt idx="4">
                  <c:v>2850</c:v>
                </c:pt>
                <c:pt idx="5">
                  <c:v>2585</c:v>
                </c:pt>
                <c:pt idx="6">
                  <c:v>2110</c:v>
                </c:pt>
                <c:pt idx="7">
                  <c:v>2110</c:v>
                </c:pt>
              </c:numCache>
            </c:numRef>
          </c:yVal>
        </c:ser>
        <c:axId val="56019584"/>
        <c:axId val="56026240"/>
      </c:scatterChart>
      <c:valAx>
        <c:axId val="56019584"/>
        <c:scaling>
          <c:orientation val="minMax"/>
          <c:max val="150"/>
          <c:min val="138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C.G. - Inches Aft of Datum</a:t>
                </a:r>
              </a:p>
            </c:rich>
          </c:tx>
          <c:layout>
            <c:manualLayout>
              <c:xMode val="edge"/>
              <c:yMode val="edge"/>
              <c:x val="0.31061823294275337"/>
              <c:y val="0.900765495916063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6240"/>
        <c:crosses val="autoZero"/>
        <c:crossBetween val="midCat"/>
        <c:majorUnit val="2"/>
        <c:minorUnit val="1"/>
      </c:valAx>
      <c:valAx>
        <c:axId val="56026240"/>
        <c:scaling>
          <c:orientation val="minMax"/>
          <c:max val="3100"/>
          <c:min val="2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Weight - Pounds</a:t>
                </a:r>
              </a:p>
            </c:rich>
          </c:tx>
          <c:layout>
            <c:manualLayout>
              <c:xMode val="edge"/>
              <c:yMode val="edge"/>
              <c:x val="2.5356576862123614E-2"/>
              <c:y val="0.3486013103323916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19584"/>
        <c:crosses val="autoZero"/>
        <c:crossBetween val="midCat"/>
        <c:majorUnit val="2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16548327655569"/>
          <c:y val="0.40712575050256122"/>
          <c:w val="0.17115706020107235"/>
          <c:h val="0.185751170416675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19050</xdr:rowOff>
    </xdr:from>
    <xdr:to>
      <xdr:col>5</xdr:col>
      <xdr:colOff>600075</xdr:colOff>
      <xdr:row>44</xdr:row>
      <xdr:rowOff>57150</xdr:rowOff>
    </xdr:to>
    <xdr:graphicFrame macro="">
      <xdr:nvGraphicFramePr>
        <xdr:cNvPr id="10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RowColHeaders="0" tabSelected="1" workbookViewId="0">
      <selection activeCell="I5" sqref="I5"/>
    </sheetView>
  </sheetViews>
  <sheetFormatPr defaultRowHeight="12.75"/>
  <cols>
    <col min="1" max="1" width="19.85546875" style="1" customWidth="1"/>
    <col min="2" max="2" width="24.7109375" style="1" customWidth="1"/>
    <col min="3" max="3" width="12" style="1" customWidth="1"/>
    <col min="4" max="6" width="12.7109375" style="1" customWidth="1"/>
    <col min="7" max="7" width="5.7109375" style="1" customWidth="1"/>
    <col min="8" max="8" width="4.7109375" style="1" customWidth="1"/>
    <col min="9" max="16384" width="9.140625" style="1"/>
  </cols>
  <sheetData>
    <row r="1" spans="1:11" ht="19.5">
      <c r="A1" s="83" t="s">
        <v>24</v>
      </c>
      <c r="B1" s="83"/>
      <c r="C1" s="83"/>
      <c r="D1" s="83"/>
      <c r="E1" s="83"/>
      <c r="F1" s="83"/>
    </row>
    <row r="2" spans="1:11" ht="15.75">
      <c r="A2" s="8"/>
      <c r="B2" s="8"/>
      <c r="C2" s="8"/>
      <c r="D2" s="8"/>
      <c r="E2" s="8"/>
      <c r="F2" s="8"/>
      <c r="G2" s="84"/>
      <c r="H2" s="85"/>
      <c r="I2" s="86"/>
      <c r="J2" s="49" t="s">
        <v>44</v>
      </c>
      <c r="K2" s="50"/>
    </row>
    <row r="3" spans="1:11" ht="16.5" thickBot="1">
      <c r="A3" s="7" t="s">
        <v>0</v>
      </c>
      <c r="B3" s="7" t="s">
        <v>8</v>
      </c>
      <c r="C3" s="7" t="s">
        <v>1</v>
      </c>
      <c r="D3" s="7" t="s">
        <v>2</v>
      </c>
      <c r="E3" s="7" t="s">
        <v>3</v>
      </c>
      <c r="F3" s="39"/>
      <c r="G3" s="87" t="s">
        <v>45</v>
      </c>
      <c r="H3" s="81"/>
      <c r="I3" s="82"/>
      <c r="J3" s="51"/>
      <c r="K3" s="52"/>
    </row>
    <row r="4" spans="1:11" ht="16.5" thickBot="1">
      <c r="A4" s="9" t="s">
        <v>12</v>
      </c>
      <c r="B4" s="37" t="s">
        <v>24</v>
      </c>
      <c r="C4" s="10">
        <v>2150.3000000000002</v>
      </c>
      <c r="D4" s="11">
        <v>140.6</v>
      </c>
      <c r="E4" s="16">
        <v>302.31799999999998</v>
      </c>
      <c r="G4" s="80" t="s">
        <v>46</v>
      </c>
      <c r="H4" s="81"/>
      <c r="I4" s="82"/>
      <c r="J4" s="51" t="s">
        <v>43</v>
      </c>
      <c r="K4" s="56">
        <f>SUM(K5)/2.2</f>
        <v>76.36363636363636</v>
      </c>
    </row>
    <row r="5" spans="1:11" ht="16.5" thickBot="1">
      <c r="A5" s="13" t="s">
        <v>21</v>
      </c>
      <c r="B5" s="14"/>
      <c r="C5" s="67">
        <f>I5</f>
        <v>0</v>
      </c>
      <c r="D5" s="15">
        <v>143.5</v>
      </c>
      <c r="E5" s="16">
        <f>(C5*D5)/1000</f>
        <v>0</v>
      </c>
      <c r="G5" s="41" t="s">
        <v>25</v>
      </c>
      <c r="H5" s="5"/>
      <c r="I5" s="64"/>
      <c r="J5" s="53" t="s">
        <v>33</v>
      </c>
      <c r="K5" s="54">
        <f>SUM(K6)*14</f>
        <v>168</v>
      </c>
    </row>
    <row r="6" spans="1:11" ht="16.5" thickBot="1">
      <c r="A6" s="13" t="s">
        <v>37</v>
      </c>
      <c r="B6" s="68">
        <f>I6/4.5461</f>
        <v>0</v>
      </c>
      <c r="C6" s="48">
        <f>B6*7.1</f>
        <v>0</v>
      </c>
      <c r="D6" s="15">
        <v>153.80000000000001</v>
      </c>
      <c r="E6" s="16">
        <f>(C6*D6)/1000</f>
        <v>0</v>
      </c>
      <c r="F6" s="39"/>
      <c r="G6" s="45" t="s">
        <v>36</v>
      </c>
      <c r="H6" s="5"/>
      <c r="I6" s="64"/>
      <c r="J6" s="5" t="s">
        <v>49</v>
      </c>
      <c r="K6" s="66">
        <v>12</v>
      </c>
    </row>
    <row r="7" spans="1:11" ht="16.5" thickBot="1">
      <c r="A7" s="7" t="s">
        <v>23</v>
      </c>
      <c r="B7" s="7" t="s">
        <v>42</v>
      </c>
      <c r="C7" s="38" t="s">
        <v>22</v>
      </c>
      <c r="D7" s="8"/>
      <c r="E7" s="17"/>
      <c r="G7" s="41"/>
      <c r="H7" s="5"/>
      <c r="I7" s="64"/>
      <c r="J7" s="5"/>
    </row>
    <row r="8" spans="1:11" ht="16.5" thickBot="1">
      <c r="A8" s="9" t="s">
        <v>13</v>
      </c>
      <c r="B8" s="18"/>
      <c r="C8" s="67">
        <f>I8</f>
        <v>0</v>
      </c>
      <c r="D8" s="11">
        <v>143.5</v>
      </c>
      <c r="E8" s="12">
        <f>(C8*D8)/1000</f>
        <v>0</v>
      </c>
      <c r="G8" s="41" t="s">
        <v>26</v>
      </c>
      <c r="H8" s="5"/>
      <c r="I8" s="64"/>
      <c r="J8" s="5"/>
    </row>
    <row r="9" spans="1:11" ht="16.5" thickBot="1">
      <c r="A9" s="13" t="s">
        <v>14</v>
      </c>
      <c r="B9" s="14"/>
      <c r="C9" s="67">
        <f>I9</f>
        <v>0</v>
      </c>
      <c r="D9" s="15">
        <v>180</v>
      </c>
      <c r="E9" s="16">
        <f>(C9*D9)/1000</f>
        <v>0</v>
      </c>
      <c r="G9" s="41" t="s">
        <v>27</v>
      </c>
      <c r="H9" s="5"/>
      <c r="I9" s="64"/>
      <c r="J9" s="5"/>
    </row>
    <row r="10" spans="1:11" ht="16.5" thickBot="1">
      <c r="A10" s="13" t="s">
        <v>15</v>
      </c>
      <c r="B10" s="14"/>
      <c r="C10" s="67">
        <f>I10</f>
        <v>0</v>
      </c>
      <c r="D10" s="15">
        <v>180</v>
      </c>
      <c r="E10" s="16">
        <f>(C10*D10)/1000</f>
        <v>0</v>
      </c>
      <c r="G10" s="41" t="s">
        <v>28</v>
      </c>
      <c r="H10" s="5"/>
      <c r="I10" s="64"/>
      <c r="J10" s="5"/>
    </row>
    <row r="11" spans="1:11" ht="16.5" thickBot="1">
      <c r="A11" s="19" t="s">
        <v>6</v>
      </c>
      <c r="B11" s="69" t="s">
        <v>20</v>
      </c>
      <c r="C11" s="67">
        <f>I11</f>
        <v>0</v>
      </c>
      <c r="D11" s="20">
        <v>208</v>
      </c>
      <c r="E11" s="16">
        <f>(C11*D11)/1000</f>
        <v>0</v>
      </c>
      <c r="G11" s="42" t="s">
        <v>6</v>
      </c>
      <c r="H11" s="43"/>
      <c r="I11" s="65"/>
      <c r="J11" s="5"/>
    </row>
    <row r="12" spans="1:11" ht="15.75">
      <c r="A12" s="21" t="s">
        <v>38</v>
      </c>
      <c r="B12" s="21"/>
      <c r="C12" s="46">
        <f>SUM(C4:C11)</f>
        <v>2150.3000000000002</v>
      </c>
      <c r="D12" s="22">
        <f>E12*1000/C12</f>
        <v>140.59340557131563</v>
      </c>
      <c r="E12" s="36">
        <f>SUM(E4:E11)</f>
        <v>302.31799999999998</v>
      </c>
    </row>
    <row r="13" spans="1:11" ht="15.75">
      <c r="A13" s="8"/>
      <c r="B13" s="21" t="s">
        <v>31</v>
      </c>
      <c r="C13" s="44">
        <f>3000-C12</f>
        <v>849.69999999999982</v>
      </c>
      <c r="D13" s="8"/>
      <c r="E13" s="23"/>
      <c r="F13" s="24"/>
      <c r="G13" s="2" t="s">
        <v>29</v>
      </c>
    </row>
    <row r="14" spans="1:11" ht="15.75">
      <c r="A14" s="8"/>
      <c r="B14" s="21"/>
      <c r="C14" s="21"/>
      <c r="D14" s="23"/>
      <c r="E14" s="25"/>
      <c r="F14" s="26"/>
      <c r="G14" s="40" t="s">
        <v>32</v>
      </c>
      <c r="H14" s="40"/>
      <c r="I14" s="40"/>
      <c r="J14" s="40"/>
      <c r="K14" s="40"/>
    </row>
    <row r="15" spans="1:11" ht="15.75">
      <c r="A15" s="27" t="s">
        <v>4</v>
      </c>
      <c r="B15" s="27"/>
      <c r="C15" s="28"/>
      <c r="D15" s="27">
        <v>3000</v>
      </c>
      <c r="E15" s="28"/>
      <c r="F15" s="8"/>
      <c r="G15" s="40" t="s">
        <v>34</v>
      </c>
      <c r="H15" s="40"/>
      <c r="I15" s="40"/>
      <c r="J15" s="40"/>
      <c r="K15" s="40"/>
    </row>
    <row r="16" spans="1:11" ht="15.75">
      <c r="A16" s="34" t="s">
        <v>16</v>
      </c>
      <c r="B16" s="34" t="s">
        <v>19</v>
      </c>
      <c r="C16" s="35" t="s">
        <v>18</v>
      </c>
      <c r="D16" s="35" t="s">
        <v>17</v>
      </c>
      <c r="E16" s="28"/>
      <c r="F16" s="8"/>
      <c r="G16" s="40" t="s">
        <v>35</v>
      </c>
      <c r="H16" s="40"/>
      <c r="I16" s="40"/>
      <c r="J16" s="40"/>
      <c r="K16" s="40"/>
    </row>
    <row r="17" spans="1:11" ht="15.75">
      <c r="A17" s="29">
        <f>C4</f>
        <v>2150.3000000000002</v>
      </c>
      <c r="B17" s="47">
        <f>SUM(C6)</f>
        <v>0</v>
      </c>
      <c r="C17" s="29">
        <f>C5+SUM(C8:C11)</f>
        <v>0</v>
      </c>
      <c r="D17" s="30">
        <f>SUM(A17:C17)</f>
        <v>2150.3000000000002</v>
      </c>
      <c r="E17" s="31">
        <f>E12*1000/D17</f>
        <v>140.59340557131563</v>
      </c>
      <c r="F17" s="8"/>
      <c r="G17" s="40" t="s">
        <v>50</v>
      </c>
      <c r="H17" s="40"/>
      <c r="I17" s="40"/>
      <c r="J17" s="40"/>
      <c r="K17" s="40"/>
    </row>
    <row r="18" spans="1:11" ht="15.75">
      <c r="A18" s="28" t="s">
        <v>48</v>
      </c>
      <c r="B18" s="28"/>
      <c r="C18" s="71">
        <f>SUM(J26)*12*24</f>
        <v>0</v>
      </c>
      <c r="D18" s="30">
        <f>(C18)*5</f>
        <v>0</v>
      </c>
      <c r="E18" s="28"/>
      <c r="F18" s="8"/>
      <c r="G18" s="40" t="s">
        <v>60</v>
      </c>
      <c r="H18" s="40"/>
      <c r="I18" s="40"/>
      <c r="J18" s="40"/>
      <c r="K18" s="40"/>
    </row>
    <row r="19" spans="1:11" ht="15.75">
      <c r="A19" s="28" t="s">
        <v>9</v>
      </c>
      <c r="B19" s="28"/>
      <c r="C19" s="28"/>
      <c r="D19" s="30">
        <f>D17-D18</f>
        <v>2150.3000000000002</v>
      </c>
      <c r="E19" s="31">
        <f>(E12-(D18*0.154))*1000/D19</f>
        <v>140.59340557131563</v>
      </c>
      <c r="F19" s="8"/>
      <c r="G19" s="40" t="s">
        <v>30</v>
      </c>
      <c r="H19" s="40"/>
      <c r="I19" s="40"/>
      <c r="J19" s="40"/>
      <c r="K19" s="40"/>
    </row>
    <row r="20" spans="1:11" ht="15.75">
      <c r="A20" s="27" t="s">
        <v>5</v>
      </c>
      <c r="B20" s="28"/>
      <c r="C20" s="28"/>
      <c r="D20" s="32">
        <v>2900</v>
      </c>
      <c r="E20" s="28"/>
      <c r="F20" s="8"/>
      <c r="G20" s="55"/>
      <c r="H20" s="55"/>
      <c r="I20" s="55"/>
      <c r="J20" s="55"/>
      <c r="K20" s="55"/>
    </row>
    <row r="21" spans="1:11" ht="15.75">
      <c r="A21" s="28" t="s">
        <v>7</v>
      </c>
      <c r="B21" s="28"/>
      <c r="C21" s="28"/>
      <c r="D21" s="30">
        <f>A17+C17</f>
        <v>2150.3000000000002</v>
      </c>
      <c r="E21" s="31">
        <f>(SUM(E4:E5)+SUM(E8:E11))*1000/D21</f>
        <v>140.59340557131563</v>
      </c>
      <c r="F21" s="33"/>
      <c r="G21" s="1" t="s">
        <v>40</v>
      </c>
    </row>
    <row r="22" spans="1:11">
      <c r="C22" s="3"/>
      <c r="F22" s="2"/>
      <c r="G22" s="1" t="s">
        <v>47</v>
      </c>
    </row>
    <row r="23" spans="1:11">
      <c r="E23" s="4"/>
      <c r="F23" s="5"/>
      <c r="G23" s="1" t="s">
        <v>39</v>
      </c>
      <c r="H23" s="55"/>
      <c r="I23" s="55"/>
      <c r="J23" s="55"/>
      <c r="K23" s="55"/>
    </row>
    <row r="24" spans="1:11">
      <c r="D24" s="6" t="s">
        <v>10</v>
      </c>
      <c r="E24" s="6" t="s">
        <v>11</v>
      </c>
      <c r="F24" s="4"/>
      <c r="G24" s="40" t="s">
        <v>41</v>
      </c>
      <c r="H24" s="40"/>
      <c r="I24" s="40"/>
      <c r="J24" s="40"/>
      <c r="K24" s="40"/>
    </row>
    <row r="25" spans="1:11">
      <c r="D25" s="6">
        <v>2110</v>
      </c>
      <c r="E25" s="6">
        <v>138.85</v>
      </c>
      <c r="F25" s="5"/>
      <c r="J25" s="59" t="s">
        <v>56</v>
      </c>
    </row>
    <row r="26" spans="1:11" ht="15">
      <c r="D26" s="6">
        <v>2694</v>
      </c>
      <c r="E26" s="6">
        <v>141</v>
      </c>
      <c r="F26" s="5"/>
      <c r="G26" s="1" t="s">
        <v>59</v>
      </c>
      <c r="J26" s="70">
        <v>0</v>
      </c>
      <c r="K26" s="57"/>
    </row>
    <row r="27" spans="1:11">
      <c r="D27" s="6">
        <v>3000</v>
      </c>
      <c r="E27" s="6">
        <v>144.15</v>
      </c>
      <c r="F27" s="5"/>
      <c r="J27" s="63" t="s">
        <v>57</v>
      </c>
    </row>
    <row r="28" spans="1:11" ht="15">
      <c r="D28" s="6">
        <v>3000</v>
      </c>
      <c r="E28" s="6">
        <v>148</v>
      </c>
      <c r="G28" s="58" t="s">
        <v>51</v>
      </c>
      <c r="H28" s="58"/>
      <c r="I28" s="58"/>
      <c r="J28" s="60">
        <f>SUM(B6)/0.8326</f>
        <v>0</v>
      </c>
    </row>
    <row r="29" spans="1:11">
      <c r="D29" s="6">
        <v>2850</v>
      </c>
      <c r="E29" s="6">
        <v>148.12</v>
      </c>
      <c r="G29" s="58" t="s">
        <v>52</v>
      </c>
      <c r="H29" s="58"/>
      <c r="I29" s="58"/>
      <c r="J29" s="63" t="s">
        <v>56</v>
      </c>
    </row>
    <row r="30" spans="1:11" ht="15">
      <c r="D30" s="6">
        <v>2585</v>
      </c>
      <c r="E30" s="6">
        <v>147.5</v>
      </c>
      <c r="G30" s="58" t="s">
        <v>55</v>
      </c>
      <c r="H30" s="58"/>
      <c r="I30" s="58"/>
      <c r="J30" s="61">
        <f>SUM(J28)/12/24</f>
        <v>0</v>
      </c>
    </row>
    <row r="31" spans="1:11">
      <c r="D31" s="6">
        <v>2110</v>
      </c>
      <c r="E31" s="6">
        <v>144.6</v>
      </c>
      <c r="G31" s="58"/>
      <c r="H31" s="58"/>
      <c r="I31" s="58"/>
      <c r="J31" s="63" t="s">
        <v>57</v>
      </c>
    </row>
    <row r="32" spans="1:11" ht="15">
      <c r="D32" s="6">
        <v>2110</v>
      </c>
      <c r="E32" s="6">
        <v>138.85</v>
      </c>
      <c r="G32" s="58" t="s">
        <v>53</v>
      </c>
      <c r="H32" s="58"/>
      <c r="I32" s="58"/>
      <c r="J32" s="60">
        <f>SUM(J28)-C18</f>
        <v>0</v>
      </c>
    </row>
    <row r="33" spans="7:11">
      <c r="G33" s="58"/>
      <c r="H33" s="58"/>
      <c r="I33" s="58"/>
      <c r="J33" s="62"/>
    </row>
    <row r="34" spans="7:11">
      <c r="G34" s="58" t="s">
        <v>54</v>
      </c>
      <c r="H34" s="58"/>
      <c r="I34" s="58"/>
      <c r="J34" s="63" t="s">
        <v>56</v>
      </c>
    </row>
    <row r="35" spans="7:11" ht="15">
      <c r="G35" s="58" t="s">
        <v>58</v>
      </c>
      <c r="H35" s="58"/>
      <c r="I35" s="58"/>
      <c r="J35" s="61">
        <f>SUM(J32)/12/24</f>
        <v>0</v>
      </c>
    </row>
    <row r="38" spans="7:11" ht="13.5" thickBot="1">
      <c r="G38" s="72"/>
      <c r="H38" s="73"/>
      <c r="I38" s="74" t="s">
        <v>61</v>
      </c>
      <c r="J38" s="74" t="s">
        <v>62</v>
      </c>
      <c r="K38" s="75" t="s">
        <v>63</v>
      </c>
    </row>
    <row r="39" spans="7:11" ht="13.5" thickTop="1">
      <c r="G39" s="76" t="s">
        <v>64</v>
      </c>
      <c r="H39" s="5"/>
      <c r="I39" s="5" t="s">
        <v>65</v>
      </c>
      <c r="J39" s="5" t="s">
        <v>65</v>
      </c>
      <c r="K39" s="77" t="s">
        <v>66</v>
      </c>
    </row>
    <row r="40" spans="7:11">
      <c r="G40" s="78" t="s">
        <v>67</v>
      </c>
      <c r="H40" s="43"/>
      <c r="I40" s="43" t="s">
        <v>68</v>
      </c>
      <c r="J40" s="43" t="s">
        <v>68</v>
      </c>
      <c r="K40" s="79" t="s">
        <v>69</v>
      </c>
    </row>
  </sheetData>
  <sheetProtection sheet="1" objects="1" scenarios="1" selectLockedCells="1"/>
  <mergeCells count="4">
    <mergeCell ref="G4:I4"/>
    <mergeCell ref="A1:F1"/>
    <mergeCell ref="G2:I2"/>
    <mergeCell ref="G3:I3"/>
  </mergeCells>
  <phoneticPr fontId="0" type="noConversion"/>
  <pageMargins left="0.75" right="0.19" top="0.49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N907FS</vt:lpstr>
      <vt:lpstr>N907FS!Print_Area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Lee</dc:creator>
  <cp:lastModifiedBy>Dad</cp:lastModifiedBy>
  <cp:lastPrinted>2011-04-15T09:20:06Z</cp:lastPrinted>
  <dcterms:created xsi:type="dcterms:W3CDTF">1999-11-23T17:40:02Z</dcterms:created>
  <dcterms:modified xsi:type="dcterms:W3CDTF">2019-08-23T14:12:23Z</dcterms:modified>
</cp:coreProperties>
</file>